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_Design &amp; Development\1. Forensics\HID-STR-A\"/>
    </mc:Choice>
  </mc:AlternateContent>
  <xr:revisionPtr revIDLastSave="0" documentId="13_ncr:1_{E250F8B8-62FF-42A6-97C9-833FAB35E51E}" xr6:coauthVersionLast="47" xr6:coauthVersionMax="47" xr10:uidLastSave="{00000000-0000-0000-0000-000000000000}"/>
  <bookViews>
    <workbookView xWindow="-120" yWindow="-120" windowWidth="29040" windowHeight="15840" tabRatio="858" xr2:uid="{060908F7-61C1-4672-B598-38890CB14463}"/>
  </bookViews>
  <sheets>
    <sheet name="Library QC and dilution" sheetId="4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44" l="1"/>
  <c r="J11" i="44"/>
  <c r="J18" i="44"/>
  <c r="M12" i="44"/>
  <c r="E48" i="44"/>
  <c r="E49" i="44"/>
  <c r="E50" i="44"/>
  <c r="E51" i="44"/>
  <c r="E52" i="44"/>
  <c r="M11" i="44"/>
  <c r="E47" i="44"/>
  <c r="C48" i="44"/>
  <c r="C49" i="44"/>
  <c r="C50" i="44"/>
  <c r="C51" i="44"/>
  <c r="C52" i="44"/>
  <c r="C47" i="44"/>
  <c r="G12" i="44"/>
  <c r="G13" i="44"/>
  <c r="G14" i="44"/>
  <c r="G15" i="44"/>
  <c r="G16" i="44"/>
  <c r="G11" i="44"/>
  <c r="J13" i="44"/>
  <c r="J14" i="44"/>
  <c r="J15" i="44"/>
  <c r="J16" i="44"/>
  <c r="C54" i="44"/>
  <c r="C56" i="44"/>
  <c r="C55" i="44"/>
  <c r="C59" i="44"/>
  <c r="E56" i="44"/>
  <c r="E55" i="44"/>
  <c r="E54" i="44"/>
  <c r="E59" i="44"/>
  <c r="C22" i="44"/>
  <c r="M13" i="44"/>
  <c r="C23" i="44"/>
  <c r="M14" i="44"/>
  <c r="C24" i="44"/>
  <c r="M15" i="44"/>
  <c r="C25" i="44"/>
  <c r="M16" i="44"/>
  <c r="C26" i="44"/>
  <c r="E22" i="44"/>
  <c r="E23" i="44"/>
  <c r="E24" i="44"/>
  <c r="E25" i="44"/>
  <c r="E26" i="44"/>
  <c r="B26" i="44"/>
  <c r="B25" i="44"/>
  <c r="B24" i="44"/>
  <c r="B23" i="44"/>
  <c r="B22" i="44"/>
  <c r="B21" i="44"/>
  <c r="F22" i="44"/>
  <c r="F23" i="44"/>
  <c r="F24" i="44"/>
  <c r="F25" i="44"/>
  <c r="F26" i="44"/>
  <c r="F21" i="44"/>
  <c r="C21" i="44"/>
  <c r="E21" i="44"/>
  <c r="C27" i="44"/>
  <c r="G21" i="44"/>
  <c r="H21" i="44"/>
  <c r="G22" i="44"/>
  <c r="H22" i="44"/>
  <c r="G23" i="44"/>
  <c r="H23" i="44"/>
  <c r="G24" i="44"/>
  <c r="H24" i="44"/>
  <c r="G25" i="44"/>
  <c r="H25" i="44"/>
  <c r="G26" i="44"/>
  <c r="H26" i="44"/>
  <c r="H28" i="44"/>
  <c r="D43" i="44"/>
  <c r="J21" i="44"/>
  <c r="J22" i="44"/>
  <c r="J23" i="44"/>
  <c r="J24" i="44"/>
  <c r="J25" i="44"/>
  <c r="J26" i="44"/>
  <c r="J27" i="44"/>
  <c r="L21" i="44"/>
  <c r="D22" i="44"/>
  <c r="D23" i="44"/>
  <c r="D24" i="44"/>
  <c r="D25" i="44"/>
  <c r="D26" i="44"/>
  <c r="D21" i="44"/>
  <c r="M18" i="44"/>
  <c r="C61" i="44"/>
  <c r="E61" i="44"/>
  <c r="L10" i="44"/>
  <c r="L16" i="44"/>
  <c r="C37" i="44"/>
  <c r="E41" i="44"/>
  <c r="G41" i="44"/>
  <c r="C28" i="44"/>
  <c r="J20" i="44"/>
  <c r="K20" i="44"/>
</calcChain>
</file>

<file path=xl/sharedStrings.xml><?xml version="1.0" encoding="utf-8"?>
<sst xmlns="http://schemas.openxmlformats.org/spreadsheetml/2006/main" count="76" uniqueCount="60">
  <si>
    <t xml:space="preserve"> </t>
  </si>
  <si>
    <t>µL</t>
  </si>
  <si>
    <t>sample concentration (pg/µL) * 1000000(µL/l) / 660000(pg/nM/bp)/# bp</t>
  </si>
  <si>
    <r>
      <t>ng/</t>
    </r>
    <r>
      <rPr>
        <sz val="11"/>
        <color theme="1"/>
        <rFont val="Calibri"/>
        <family val="2"/>
      </rPr>
      <t>µL</t>
    </r>
  </si>
  <si>
    <t xml:space="preserve">µL </t>
  </si>
  <si>
    <t>Loading concentration (pM)</t>
  </si>
  <si>
    <t>Calculated Qubit Readout:</t>
  </si>
  <si>
    <t>Load in MiSeq cartridge: (µL )</t>
  </si>
  <si>
    <t>samples totaal</t>
  </si>
  <si>
    <t>reads totaal</t>
  </si>
  <si>
    <t>Total Reads needed</t>
  </si>
  <si>
    <t>Min. needed sequencing depth (reads/sample)</t>
  </si>
  <si>
    <t>Capacity Check:</t>
  </si>
  <si>
    <t>Minimum Total reads needed:</t>
  </si>
  <si>
    <t>Pool 1, predicted reads per sample</t>
  </si>
  <si>
    <t>Pool 2, predicted reads per sample</t>
  </si>
  <si>
    <t>Pool 3, predicted reads per sample</t>
  </si>
  <si>
    <t>NaOH (0.1 N)</t>
  </si>
  <si>
    <t>MiSeq FGx         (in RUO mode)  or Illumina V3</t>
  </si>
  <si>
    <t>MiSeq FGx Micro                  (in RUO mode)</t>
  </si>
  <si>
    <t>RC-PCR pool 1:</t>
  </si>
  <si>
    <t>RC-PCR pool 2:</t>
  </si>
  <si>
    <t>RC-PCR pool 3:</t>
  </si>
  <si>
    <t>Number of samples in each pool</t>
  </si>
  <si>
    <t>incubate 5 minutes at room temperature</t>
  </si>
  <si>
    <t>Add Ice Cold Buffer HT1</t>
  </si>
  <si>
    <t>PhiX control (µL of 20 pM)</t>
  </si>
  <si>
    <t>HT1 (µL)</t>
  </si>
  <si>
    <t>All YELLOW fields refer to a pipetting step</t>
  </si>
  <si>
    <t>Total Combined Library (20 pM)</t>
  </si>
  <si>
    <t>MiSeq FGx (RUO mode)                  or v3 cartridge</t>
  </si>
  <si>
    <t>Fill in: All GREEN fields, where needed</t>
  </si>
  <si>
    <t>Fill in: Qubit Concentration, number of samples and required read depth per pool</t>
  </si>
  <si>
    <t>Add 200 mM Tris-HCl pH 7</t>
  </si>
  <si>
    <t>Denaturated pool              (20 pM) volume (µL)</t>
  </si>
  <si>
    <t>Total PhiX reads predicted for flowcell:</t>
  </si>
  <si>
    <t xml:space="preserve"> Validation of Flowcell Capacity:</t>
  </si>
  <si>
    <t>pool volume</t>
  </si>
  <si>
    <t>RC-PCR pool 4:</t>
  </si>
  <si>
    <t>RC-PCR pool 5:</t>
  </si>
  <si>
    <t>RC-PCR pool 6:</t>
  </si>
  <si>
    <t>EBT Buffer</t>
  </si>
  <si>
    <t>TOTAL</t>
  </si>
  <si>
    <t>(2 nM)</t>
  </si>
  <si>
    <r>
      <t xml:space="preserve">Step 1: Combine the pool(s) to </t>
    </r>
    <r>
      <rPr>
        <b/>
        <sz val="18"/>
        <color theme="4" tint="-0.249977111117893"/>
        <rFont val="Calibri"/>
        <family val="2"/>
      </rPr>
      <t>2</t>
    </r>
    <r>
      <rPr>
        <b/>
        <sz val="18"/>
        <color theme="4" tint="-0.249977111117893"/>
        <rFont val="Calibri"/>
        <family val="2"/>
        <scheme val="minor"/>
      </rPr>
      <t xml:space="preserve"> nM with EBT buffer</t>
    </r>
  </si>
  <si>
    <t>Pool 4, predicted reads per sample</t>
  </si>
  <si>
    <t>Pool 5, predicted reads per sample</t>
  </si>
  <si>
    <t>Pool 6, predicted reads per sample</t>
  </si>
  <si>
    <t>Step 3: Final Library preparation followed by loading on MiSeq cartridge</t>
  </si>
  <si>
    <t>Combined 2 nM Pool from step 1</t>
  </si>
  <si>
    <t>Step 2: Further Dilution to 20 pM and Denaturation</t>
  </si>
  <si>
    <t>Calculated Molarity (nM)</t>
  </si>
  <si>
    <t>Kit</t>
  </si>
  <si>
    <t>OmniSTR</t>
  </si>
  <si>
    <t>mYSTR</t>
  </si>
  <si>
    <r>
      <t>IDseek</t>
    </r>
    <r>
      <rPr>
        <b/>
        <sz val="21"/>
        <color theme="1"/>
        <rFont val="Calibri"/>
        <family val="2"/>
      </rPr>
      <t>® OmniSTR / mYSTR Library Calculator</t>
    </r>
  </si>
  <si>
    <t>Useage of the flowcell capacity:</t>
  </si>
  <si>
    <t>Illumina Instrument &amp;                      Cartridge (600 cycles)</t>
  </si>
  <si>
    <t>Total STR reads predicted for flowcell:</t>
  </si>
  <si>
    <t>Choose: Expected Max Total read#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</si>
</sst>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 tint="-0.249977111117893"/>
      <name val="Calibri"/>
      <family val="2"/>
    </font>
    <font>
      <sz val="11"/>
      <name val="Calibri"/>
      <family val="2"/>
      <scheme val="minor"/>
    </font>
    <font>
      <b/>
      <i/>
      <sz val="16"/>
      <color rgb="FF3F3F76"/>
      <name val="Courier New"/>
      <family val="3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</font>
    <font>
      <b/>
      <sz val="14"/>
      <color theme="0"/>
      <name val="Calibri"/>
      <family val="2"/>
    </font>
    <font>
      <i/>
      <sz val="12"/>
      <color theme="0"/>
      <name val="Calibri"/>
      <family val="2"/>
      <scheme val="minor"/>
    </font>
    <font>
      <b/>
      <sz val="14"/>
      <color rgb="FFE2EFDA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21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0625"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ck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rgb="FFFF0000"/>
      </left>
      <right style="thick">
        <color indexed="64"/>
      </right>
      <top style="thin">
        <color theme="1"/>
      </top>
      <bottom style="thick">
        <color rgb="FFFF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1" applyNumberFormat="0" applyAlignment="0" applyProtection="0"/>
  </cellStyleXfs>
  <cellXfs count="121">
    <xf numFmtId="0" fontId="0" fillId="0" borderId="0" xfId="0"/>
    <xf numFmtId="2" fontId="11" fillId="11" borderId="2" xfId="2" applyNumberFormat="1" applyFont="1" applyFill="1" applyBorder="1" applyAlignment="1" applyProtection="1">
      <alignment horizontal="center" vertical="center"/>
      <protection locked="0"/>
    </xf>
    <xf numFmtId="0" fontId="1" fillId="7" borderId="9" xfId="1" applyFill="1" applyBorder="1" applyProtection="1"/>
    <xf numFmtId="2" fontId="11" fillId="6" borderId="14" xfId="2" applyNumberFormat="1" applyFont="1" applyFill="1" applyBorder="1" applyAlignment="1" applyProtection="1">
      <alignment horizontal="center" vertical="center"/>
    </xf>
    <xf numFmtId="164" fontId="10" fillId="6" borderId="14" xfId="3" applyNumberFormat="1" applyFont="1" applyFill="1" applyBorder="1" applyAlignment="1" applyProtection="1">
      <alignment vertical="center"/>
    </xf>
    <xf numFmtId="0" fontId="2" fillId="7" borderId="9" xfId="2" applyFill="1" applyBorder="1" applyProtection="1"/>
    <xf numFmtId="3" fontId="20" fillId="11" borderId="7" xfId="0" applyNumberFormat="1" applyFont="1" applyFill="1" applyBorder="1" applyAlignment="1" applyProtection="1">
      <alignment horizontal="center"/>
      <protection locked="0"/>
    </xf>
    <xf numFmtId="1" fontId="11" fillId="11" borderId="35" xfId="2" applyNumberFormat="1" applyFont="1" applyFill="1" applyBorder="1" applyAlignment="1" applyProtection="1">
      <alignment horizontal="center" vertical="center"/>
      <protection locked="0"/>
    </xf>
    <xf numFmtId="1" fontId="11" fillId="11" borderId="36" xfId="2" applyNumberFormat="1" applyFont="1" applyFill="1" applyBorder="1" applyAlignment="1" applyProtection="1">
      <alignment horizontal="center" vertical="center"/>
      <protection locked="0"/>
    </xf>
    <xf numFmtId="1" fontId="11" fillId="11" borderId="37" xfId="2" applyNumberFormat="1" applyFont="1" applyFill="1" applyBorder="1" applyAlignment="1" applyProtection="1">
      <alignment horizontal="center" vertical="center"/>
      <protection locked="0"/>
    </xf>
    <xf numFmtId="1" fontId="11" fillId="11" borderId="39" xfId="2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16" fillId="6" borderId="0" xfId="0" applyFont="1" applyFill="1"/>
    <xf numFmtId="0" fontId="17" fillId="11" borderId="28" xfId="0" applyFont="1" applyFill="1" applyBorder="1" applyAlignment="1">
      <alignment vertical="center"/>
    </xf>
    <xf numFmtId="0" fontId="0" fillId="11" borderId="30" xfId="0" applyFill="1" applyBorder="1"/>
    <xf numFmtId="0" fontId="17" fillId="6" borderId="0" xfId="0" applyFont="1" applyFill="1" applyAlignment="1">
      <alignment vertical="center"/>
    </xf>
    <xf numFmtId="0" fontId="17" fillId="12" borderId="28" xfId="0" applyFont="1" applyFill="1" applyBorder="1" applyAlignment="1">
      <alignment vertical="center"/>
    </xf>
    <xf numFmtId="0" fontId="0" fillId="12" borderId="30" xfId="0" applyFill="1" applyBorder="1"/>
    <xf numFmtId="0" fontId="4" fillId="7" borderId="8" xfId="0" applyFont="1" applyFill="1" applyBorder="1"/>
    <xf numFmtId="0" fontId="0" fillId="7" borderId="9" xfId="0" applyFill="1" applyBorder="1"/>
    <xf numFmtId="0" fontId="0" fillId="7" borderId="10" xfId="0" applyFill="1" applyBorder="1"/>
    <xf numFmtId="0" fontId="0" fillId="10" borderId="31" xfId="0" applyFill="1" applyBorder="1" applyAlignment="1">
      <alignment horizontal="center"/>
    </xf>
    <xf numFmtId="0" fontId="0" fillId="10" borderId="34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1" fontId="0" fillId="6" borderId="0" xfId="0" applyNumberFormat="1" applyFill="1"/>
    <xf numFmtId="0" fontId="8" fillId="6" borderId="11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0" fontId="0" fillId="6" borderId="14" xfId="0" applyFill="1" applyBorder="1" applyAlignment="1">
      <alignment horizontal="center" vertical="center"/>
    </xf>
    <xf numFmtId="0" fontId="0" fillId="6" borderId="14" xfId="0" applyFill="1" applyBorder="1"/>
    <xf numFmtId="0" fontId="0" fillId="6" borderId="15" xfId="0" applyFill="1" applyBorder="1"/>
    <xf numFmtId="0" fontId="5" fillId="6" borderId="0" xfId="0" applyFont="1" applyFill="1"/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/>
    <xf numFmtId="0" fontId="0" fillId="10" borderId="11" xfId="0" applyFill="1" applyBorder="1" applyAlignment="1">
      <alignment horizont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horizontal="center"/>
    </xf>
    <xf numFmtId="0" fontId="0" fillId="16" borderId="12" xfId="0" applyFill="1" applyBorder="1" applyAlignment="1">
      <alignment horizontal="center"/>
    </xf>
    <xf numFmtId="164" fontId="0" fillId="6" borderId="0" xfId="0" applyNumberFormat="1" applyFill="1"/>
    <xf numFmtId="164" fontId="25" fillId="16" borderId="0" xfId="0" applyNumberFormat="1" applyFont="1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2" fontId="0" fillId="6" borderId="0" xfId="0" applyNumberFormat="1" applyFill="1" applyAlignment="1">
      <alignment horizontal="center" wrapText="1"/>
    </xf>
    <xf numFmtId="0" fontId="8" fillId="6" borderId="13" xfId="0" applyFont="1" applyFill="1" applyBorder="1" applyAlignment="1">
      <alignment horizontal="center"/>
    </xf>
    <xf numFmtId="164" fontId="13" fillId="5" borderId="14" xfId="0" applyNumberFormat="1" applyFont="1" applyFill="1" applyBorder="1" applyAlignment="1">
      <alignment horizontal="right"/>
    </xf>
    <xf numFmtId="164" fontId="23" fillId="5" borderId="14" xfId="0" applyNumberFormat="1" applyFont="1" applyFill="1" applyBorder="1" applyAlignment="1">
      <alignment horizontal="left"/>
    </xf>
    <xf numFmtId="164" fontId="13" fillId="5" borderId="14" xfId="0" applyNumberFormat="1" applyFont="1" applyFill="1" applyBorder="1" applyAlignment="1">
      <alignment horizontal="left"/>
    </xf>
    <xf numFmtId="164" fontId="22" fillId="16" borderId="14" xfId="0" applyNumberFormat="1" applyFont="1" applyFill="1" applyBorder="1" applyAlignment="1">
      <alignment horizontal="left"/>
    </xf>
    <xf numFmtId="164" fontId="25" fillId="16" borderId="14" xfId="0" applyNumberFormat="1" applyFont="1" applyFill="1" applyBorder="1" applyAlignment="1">
      <alignment horizontal="center"/>
    </xf>
    <xf numFmtId="0" fontId="7" fillId="6" borderId="11" xfId="0" applyFont="1" applyFill="1" applyBorder="1"/>
    <xf numFmtId="1" fontId="15" fillId="12" borderId="0" xfId="0" applyNumberFormat="1" applyFont="1" applyFill="1" applyAlignment="1">
      <alignment horizontal="right"/>
    </xf>
    <xf numFmtId="0" fontId="15" fillId="12" borderId="0" xfId="0" applyFont="1" applyFill="1"/>
    <xf numFmtId="164" fontId="21" fillId="5" borderId="0" xfId="0" applyNumberFormat="1" applyFont="1" applyFill="1" applyAlignment="1">
      <alignment horizontal="left"/>
    </xf>
    <xf numFmtId="0" fontId="12" fillId="5" borderId="0" xfId="0" applyFont="1" applyFill="1"/>
    <xf numFmtId="0" fontId="12" fillId="5" borderId="12" xfId="0" applyFont="1" applyFill="1" applyBorder="1"/>
    <xf numFmtId="0" fontId="15" fillId="12" borderId="0" xfId="0" applyFont="1" applyFill="1" applyAlignment="1">
      <alignment horizontal="right"/>
    </xf>
    <xf numFmtId="0" fontId="7" fillId="9" borderId="16" xfId="0" applyFont="1" applyFill="1" applyBorder="1"/>
    <xf numFmtId="1" fontId="15" fillId="9" borderId="17" xfId="0" applyNumberFormat="1" applyFont="1" applyFill="1" applyBorder="1" applyAlignment="1">
      <alignment horizontal="right"/>
    </xf>
    <xf numFmtId="0" fontId="15" fillId="9" borderId="17" xfId="0" applyFont="1" applyFill="1" applyBorder="1"/>
    <xf numFmtId="0" fontId="15" fillId="9" borderId="24" xfId="0" applyFont="1" applyFill="1" applyBorder="1"/>
    <xf numFmtId="0" fontId="5" fillId="6" borderId="0" xfId="0" applyFont="1" applyFill="1" applyAlignment="1">
      <alignment horizontal="right"/>
    </xf>
    <xf numFmtId="0" fontId="0" fillId="10" borderId="6" xfId="0" applyFill="1" applyBorder="1" applyAlignment="1">
      <alignment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15" fillId="12" borderId="20" xfId="0" applyFont="1" applyFill="1" applyBorder="1" applyAlignment="1">
      <alignment horizontal="center"/>
    </xf>
    <xf numFmtId="0" fontId="15" fillId="12" borderId="21" xfId="0" applyFont="1" applyFill="1" applyBorder="1" applyAlignment="1">
      <alignment horizontal="center"/>
    </xf>
    <xf numFmtId="0" fontId="18" fillId="12" borderId="5" xfId="0" applyFont="1" applyFill="1" applyBorder="1" applyAlignment="1">
      <alignment horizontal="center"/>
    </xf>
    <xf numFmtId="0" fontId="18" fillId="6" borderId="0" xfId="0" applyFont="1" applyFill="1"/>
    <xf numFmtId="0" fontId="18" fillId="10" borderId="28" xfId="0" applyFont="1" applyFill="1" applyBorder="1"/>
    <xf numFmtId="0" fontId="0" fillId="10" borderId="29" xfId="0" applyFill="1" applyBorder="1"/>
    <xf numFmtId="0" fontId="0" fillId="10" borderId="30" xfId="0" applyFill="1" applyBorder="1"/>
    <xf numFmtId="0" fontId="19" fillId="7" borderId="0" xfId="0" applyFont="1" applyFill="1" applyAlignment="1">
      <alignment vertical="center"/>
    </xf>
    <xf numFmtId="0" fontId="19" fillId="14" borderId="22" xfId="0" applyFont="1" applyFill="1" applyBorder="1" applyAlignment="1">
      <alignment horizontal="center" vertical="center" wrapText="1"/>
    </xf>
    <xf numFmtId="0" fontId="0" fillId="13" borderId="0" xfId="0" applyFill="1" applyAlignment="1">
      <alignment vertical="center"/>
    </xf>
    <xf numFmtId="0" fontId="0" fillId="6" borderId="0" xfId="0" applyFill="1" applyAlignment="1">
      <alignment horizontal="center"/>
    </xf>
    <xf numFmtId="0" fontId="19" fillId="6" borderId="0" xfId="0" applyFont="1" applyFill="1" applyAlignment="1">
      <alignment vertical="center"/>
    </xf>
    <xf numFmtId="1" fontId="0" fillId="13" borderId="23" xfId="0" applyNumberFormat="1" applyFill="1" applyBorder="1" applyAlignment="1">
      <alignment horizontal="center"/>
    </xf>
    <xf numFmtId="3" fontId="0" fillId="6" borderId="0" xfId="0" applyNumberFormat="1" applyFill="1"/>
    <xf numFmtId="3" fontId="0" fillId="13" borderId="23" xfId="0" applyNumberFormat="1" applyFill="1" applyBorder="1" applyAlignment="1">
      <alignment horizontal="center"/>
    </xf>
    <xf numFmtId="3" fontId="0" fillId="13" borderId="0" xfId="0" applyNumberFormat="1" applyFill="1"/>
    <xf numFmtId="3" fontId="0" fillId="6" borderId="23" xfId="0" applyNumberFormat="1" applyFill="1" applyBorder="1" applyAlignment="1">
      <alignment horizontal="center"/>
    </xf>
    <xf numFmtId="3" fontId="20" fillId="6" borderId="0" xfId="0" applyNumberFormat="1" applyFont="1" applyFill="1"/>
    <xf numFmtId="0" fontId="7" fillId="12" borderId="7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0" fillId="13" borderId="0" xfId="0" applyFill="1"/>
    <xf numFmtId="9" fontId="7" fillId="6" borderId="22" xfId="0" applyNumberFormat="1" applyFont="1" applyFill="1" applyBorder="1" applyAlignment="1">
      <alignment horizontal="center"/>
    </xf>
    <xf numFmtId="164" fontId="15" fillId="16" borderId="12" xfId="0" applyNumberFormat="1" applyFont="1" applyFill="1" applyBorder="1" applyAlignment="1">
      <alignment horizontal="center"/>
    </xf>
    <xf numFmtId="164" fontId="15" fillId="16" borderId="15" xfId="0" applyNumberFormat="1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 vertical="center"/>
    </xf>
    <xf numFmtId="164" fontId="15" fillId="12" borderId="0" xfId="0" applyNumberFormat="1" applyFont="1" applyFill="1" applyAlignment="1">
      <alignment horizontal="right" vertical="center"/>
    </xf>
    <xf numFmtId="164" fontId="22" fillId="12" borderId="0" xfId="0" applyNumberFormat="1" applyFont="1" applyFill="1" applyAlignment="1">
      <alignment horizontal="left" vertical="center"/>
    </xf>
    <xf numFmtId="164" fontId="24" fillId="5" borderId="0" xfId="0" applyNumberFormat="1" applyFont="1" applyFill="1" applyAlignment="1">
      <alignment horizontal="left" vertical="center"/>
    </xf>
    <xf numFmtId="164" fontId="22" fillId="16" borderId="0" xfId="0" applyNumberFormat="1" applyFont="1" applyFill="1" applyAlignment="1">
      <alignment horizontal="center" vertical="center"/>
    </xf>
    <xf numFmtId="164" fontId="15" fillId="5" borderId="0" xfId="0" applyNumberFormat="1" applyFont="1" applyFill="1" applyAlignment="1">
      <alignment horizontal="center" vertical="center"/>
    </xf>
    <xf numFmtId="164" fontId="22" fillId="16" borderId="0" xfId="0" applyNumberFormat="1" applyFont="1" applyFill="1" applyAlignment="1">
      <alignment horizontal="left" vertical="center"/>
    </xf>
    <xf numFmtId="3" fontId="0" fillId="15" borderId="23" xfId="0" applyNumberFormat="1" applyFill="1" applyBorder="1" applyAlignment="1">
      <alignment horizontal="center"/>
    </xf>
    <xf numFmtId="3" fontId="0" fillId="6" borderId="0" xfId="0" applyNumberFormat="1" applyFill="1" applyAlignment="1">
      <alignment horizontal="center"/>
    </xf>
    <xf numFmtId="0" fontId="26" fillId="6" borderId="0" xfId="0" applyFont="1" applyFill="1"/>
    <xf numFmtId="2" fontId="10" fillId="9" borderId="0" xfId="3" applyNumberFormat="1" applyFont="1" applyFill="1" applyBorder="1" applyAlignment="1" applyProtection="1">
      <alignment horizontal="center" vertical="center"/>
    </xf>
    <xf numFmtId="0" fontId="19" fillId="7" borderId="0" xfId="0" applyFont="1" applyFill="1" applyAlignment="1">
      <alignment vertical="center" wrapText="1"/>
    </xf>
    <xf numFmtId="0" fontId="28" fillId="11" borderId="0" xfId="0" applyFont="1" applyFill="1" applyAlignment="1" applyProtection="1">
      <alignment vertical="center"/>
      <protection locked="0"/>
    </xf>
    <xf numFmtId="0" fontId="14" fillId="8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0" borderId="34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8" fillId="6" borderId="0" xfId="0" applyFont="1" applyFill="1"/>
    <xf numFmtId="0" fontId="18" fillId="0" borderId="0" xfId="0" applyFont="1"/>
    <xf numFmtId="0" fontId="7" fillId="6" borderId="1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15" fillId="12" borderId="19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2" fontId="11" fillId="11" borderId="26" xfId="2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</cellXfs>
  <cellStyles count="4">
    <cellStyle name="Berekening" xfId="3" builtinId="22"/>
    <cellStyle name="Goed" xfId="1" builtinId="26"/>
    <cellStyle name="Invoer" xfId="2" builtinId="20"/>
    <cellStyle name="Standaard" xfId="0" builtinId="0"/>
  </cellStyles>
  <dxfs count="8"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2" tint="-9.9948118533890809E-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2EFD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192795</xdr:colOff>
      <xdr:row>1</xdr:row>
      <xdr:rowOff>48261</xdr:rowOff>
    </xdr:from>
    <xdr:to>
      <xdr:col>14</xdr:col>
      <xdr:colOff>136488</xdr:colOff>
      <xdr:row>2</xdr:row>
      <xdr:rowOff>225361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25AFC58-92AA-4A15-8D40-91BB7ED80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1717" y="240418"/>
          <a:ext cx="3495275" cy="369256"/>
        </a:xfrm>
        <a:prstGeom prst="rect">
          <a:avLst/>
        </a:prstGeom>
      </xdr:spPr>
    </xdr:pic>
    <xdr:clientData/>
  </xdr:twoCellAnchor>
  <xdr:twoCellAnchor editAs="oneCell">
    <xdr:from>
      <xdr:col>1</xdr:col>
      <xdr:colOff>2085923</xdr:colOff>
      <xdr:row>32</xdr:row>
      <xdr:rowOff>217170</xdr:rowOff>
    </xdr:from>
    <xdr:to>
      <xdr:col>1</xdr:col>
      <xdr:colOff>2511395</xdr:colOff>
      <xdr:row>34</xdr:row>
      <xdr:rowOff>72388</xdr:rowOff>
    </xdr:to>
    <xdr:pic>
      <xdr:nvPicPr>
        <xdr:cNvPr id="2" name="Afbeelding 1" descr="2,411 5 Min Clock Images, Stock Photos &amp; Vectors | Shutterstock">
          <a:extLst>
            <a:ext uri="{FF2B5EF4-FFF2-40B4-BE49-F238E27FC236}">
              <a16:creationId xmlns:a16="http://schemas.microsoft.com/office/drawing/2014/main" id="{D0B4654B-1842-CB27-1FCF-B5F4A282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573" y="7884795"/>
          <a:ext cx="410232" cy="43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523875</xdr:colOff>
      <xdr:row>38</xdr:row>
      <xdr:rowOff>0</xdr:rowOff>
    </xdr:from>
    <xdr:to>
      <xdr:col>16</xdr:col>
      <xdr:colOff>229091</xdr:colOff>
      <xdr:row>41</xdr:row>
      <xdr:rowOff>186689</xdr:rowOff>
    </xdr:to>
    <xdr:pic>
      <xdr:nvPicPr>
        <xdr:cNvPr id="3" name="Afbeelding 2" descr="Running the MiSeq® Enrichment Workflow">
          <a:extLst>
            <a:ext uri="{FF2B5EF4-FFF2-40B4-BE49-F238E27FC236}">
              <a16:creationId xmlns:a16="http://schemas.microsoft.com/office/drawing/2014/main" id="{AA305D69-69EB-D20A-C426-C1992F15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9153525"/>
          <a:ext cx="1419716" cy="124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76200</xdr:colOff>
      <xdr:row>40</xdr:row>
      <xdr:rowOff>102870</xdr:rowOff>
    </xdr:from>
    <xdr:to>
      <xdr:col>14</xdr:col>
      <xdr:colOff>434340</xdr:colOff>
      <xdr:row>40</xdr:row>
      <xdr:rowOff>226695</xdr:rowOff>
    </xdr:to>
    <xdr:sp macro="" textlink="">
      <xdr:nvSpPr>
        <xdr:cNvPr id="4" name="Pijl: rechts 3">
          <a:extLst>
            <a:ext uri="{FF2B5EF4-FFF2-40B4-BE49-F238E27FC236}">
              <a16:creationId xmlns:a16="http://schemas.microsoft.com/office/drawing/2014/main" id="{CFC4A9AA-7193-CEEE-CD7F-27C018B660B7}"/>
            </a:ext>
          </a:extLst>
        </xdr:cNvPr>
        <xdr:cNvSpPr/>
      </xdr:nvSpPr>
      <xdr:spPr>
        <a:xfrm>
          <a:off x="10067925" y="9999345"/>
          <a:ext cx="358140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6</xdr:col>
      <xdr:colOff>797202</xdr:colOff>
      <xdr:row>3</xdr:row>
      <xdr:rowOff>113306</xdr:rowOff>
    </xdr:from>
    <xdr:to>
      <xdr:col>8</xdr:col>
      <xdr:colOff>993913</xdr:colOff>
      <xdr:row>6</xdr:row>
      <xdr:rowOff>232327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1ECF44E-B19D-946E-B614-2A99A0981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62"/>
        <a:stretch/>
      </xdr:blipFill>
      <xdr:spPr bwMode="auto">
        <a:xfrm>
          <a:off x="7032350" y="862054"/>
          <a:ext cx="2204415" cy="827101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3887-68BB-4C8B-A0BB-A53904BA6207}">
  <sheetPr>
    <tabColor theme="4" tint="-0.249977111117893"/>
    <pageSetUpPr fitToPage="1"/>
  </sheetPr>
  <dimension ref="B3:U62"/>
  <sheetViews>
    <sheetView showGridLines="0" tabSelected="1" zoomScale="115" zoomScaleNormal="115" workbookViewId="0">
      <selection activeCell="C11" sqref="C11"/>
    </sheetView>
  </sheetViews>
  <sheetFormatPr defaultColWidth="9.140625" defaultRowHeight="15" x14ac:dyDescent="0.25"/>
  <cols>
    <col min="1" max="1" width="9.140625" style="11"/>
    <col min="2" max="2" width="38" style="11" customWidth="1"/>
    <col min="3" max="3" width="15.85546875" style="11" customWidth="1"/>
    <col min="4" max="4" width="6.85546875" style="11" customWidth="1"/>
    <col min="5" max="5" width="14.28515625" style="11" customWidth="1"/>
    <col min="6" max="6" width="7.85546875" style="11" customWidth="1"/>
    <col min="7" max="7" width="16.85546875" style="11" customWidth="1"/>
    <col min="8" max="8" width="13.28515625" style="11" customWidth="1"/>
    <col min="9" max="9" width="15.42578125" style="11" customWidth="1"/>
    <col min="10" max="10" width="14.28515625" style="11" hidden="1" customWidth="1"/>
    <col min="11" max="11" width="18.5703125" style="11" hidden="1" customWidth="1"/>
    <col min="12" max="12" width="13.42578125" style="11" hidden="1" customWidth="1"/>
    <col min="13" max="13" width="9.140625" style="11" hidden="1" customWidth="1"/>
    <col min="14" max="14" width="14.85546875" style="11" hidden="1" customWidth="1"/>
    <col min="15" max="15" width="11.42578125" style="11" customWidth="1"/>
    <col min="16" max="16" width="13.5703125" style="11" customWidth="1"/>
    <col min="17" max="17" width="13.42578125" style="11" bestFit="1" customWidth="1"/>
    <col min="18" max="18" width="9.140625" style="11"/>
    <col min="19" max="19" width="13.140625" style="11" customWidth="1"/>
    <col min="20" max="20" width="11.5703125" style="11" bestFit="1" customWidth="1"/>
    <col min="21" max="21" width="13" style="11" customWidth="1"/>
    <col min="22" max="22" width="14" style="11" customWidth="1"/>
    <col min="23" max="23" width="11.7109375" style="11" customWidth="1"/>
    <col min="24" max="24" width="25.85546875" style="11" bestFit="1" customWidth="1"/>
    <col min="25" max="25" width="12.5703125" style="11" customWidth="1"/>
    <col min="26" max="26" width="14.42578125" style="11" customWidth="1"/>
    <col min="27" max="27" width="14" style="11" customWidth="1"/>
    <col min="28" max="28" width="15" style="11" customWidth="1"/>
    <col min="29" max="29" width="16.7109375" style="11" customWidth="1"/>
    <col min="30" max="30" width="9.5703125" style="11" bestFit="1" customWidth="1"/>
    <col min="31" max="16384" width="9.140625" style="11"/>
  </cols>
  <sheetData>
    <row r="3" spans="2:14" ht="27.75" x14ac:dyDescent="0.45">
      <c r="B3" s="102" t="s">
        <v>55</v>
      </c>
    </row>
    <row r="4" spans="2:14" ht="27" thickBot="1" x14ac:dyDescent="0.45">
      <c r="B4" s="12"/>
    </row>
    <row r="5" spans="2:14" ht="22.5" thickTop="1" thickBot="1" x14ac:dyDescent="0.3">
      <c r="B5" s="13" t="s">
        <v>31</v>
      </c>
      <c r="C5" s="14"/>
    </row>
    <row r="6" spans="2:14" ht="5.45" customHeight="1" thickTop="1" thickBot="1" x14ac:dyDescent="0.3">
      <c r="B6" s="15"/>
    </row>
    <row r="7" spans="2:14" ht="22.5" thickTop="1" thickBot="1" x14ac:dyDescent="0.3">
      <c r="B7" s="16" t="s">
        <v>28</v>
      </c>
      <c r="C7" s="17"/>
    </row>
    <row r="8" spans="2:14" ht="16.5" thickTop="1" thickBot="1" x14ac:dyDescent="0.3"/>
    <row r="9" spans="2:14" ht="24" thickTop="1" x14ac:dyDescent="0.35">
      <c r="B9" s="18" t="s">
        <v>32</v>
      </c>
      <c r="C9" s="19"/>
      <c r="D9" s="19"/>
      <c r="E9" s="19"/>
      <c r="F9" s="19"/>
      <c r="G9" s="19"/>
      <c r="H9" s="19"/>
      <c r="I9" s="20"/>
    </row>
    <row r="10" spans="2:14" ht="63" customHeight="1" x14ac:dyDescent="0.25">
      <c r="B10" s="21"/>
      <c r="C10" s="109" t="s">
        <v>6</v>
      </c>
      <c r="D10" s="110"/>
      <c r="E10" s="23"/>
      <c r="F10" s="24" t="s">
        <v>52</v>
      </c>
      <c r="G10" s="22" t="s">
        <v>51</v>
      </c>
      <c r="H10" s="24" t="s">
        <v>23</v>
      </c>
      <c r="I10" s="25" t="s">
        <v>11</v>
      </c>
      <c r="K10" s="11" t="s">
        <v>8</v>
      </c>
      <c r="L10" s="26">
        <f>SUM(H11:H14)</f>
        <v>192</v>
      </c>
    </row>
    <row r="11" spans="2:14" ht="23.25" customHeight="1" thickBot="1" x14ac:dyDescent="0.3">
      <c r="B11" s="27" t="s">
        <v>20</v>
      </c>
      <c r="C11" s="1">
        <v>2</v>
      </c>
      <c r="D11" s="28" t="s">
        <v>3</v>
      </c>
      <c r="E11" s="29"/>
      <c r="F11" s="105" t="s">
        <v>53</v>
      </c>
      <c r="G11" s="103">
        <f>ROUND(IF(F11="OmniSTR",(C11*1000)*1000000/660000/320,(C11*1000)*1000000/660000/400),2)</f>
        <v>9.4700000000000006</v>
      </c>
      <c r="H11" s="7">
        <v>96</v>
      </c>
      <c r="I11" s="10">
        <v>30000</v>
      </c>
      <c r="J11" s="11">
        <f t="shared" ref="J11" si="0">H11*I11</f>
        <v>2880000</v>
      </c>
      <c r="K11" s="26"/>
      <c r="M11" s="11">
        <f t="shared" ref="M11:M16" si="1">J11/$J$18</f>
        <v>0.33333333333333331</v>
      </c>
      <c r="N11" s="11" t="s">
        <v>53</v>
      </c>
    </row>
    <row r="12" spans="2:14" ht="23.25" customHeight="1" thickTop="1" thickBot="1" x14ac:dyDescent="0.3">
      <c r="B12" s="27" t="s">
        <v>21</v>
      </c>
      <c r="C12" s="1">
        <v>3</v>
      </c>
      <c r="D12" s="28" t="s">
        <v>3</v>
      </c>
      <c r="E12" s="29"/>
      <c r="F12" s="105" t="s">
        <v>53</v>
      </c>
      <c r="G12" s="103">
        <f t="shared" ref="G12:G16" si="2">ROUND(IF(F12="OmniSTR",(C12*1000)*1000000/660000/320,(C12*1000)*1000000/660000/400),2)</f>
        <v>14.2</v>
      </c>
      <c r="H12" s="8">
        <v>96</v>
      </c>
      <c r="I12" s="9">
        <v>60000</v>
      </c>
      <c r="J12" s="11">
        <f>IF(C12=0,0,IF(C12="",0,H12*I12))</f>
        <v>5760000</v>
      </c>
      <c r="K12" s="26"/>
      <c r="M12" s="11">
        <f t="shared" si="1"/>
        <v>0.66666666666666663</v>
      </c>
      <c r="N12" s="11" t="s">
        <v>54</v>
      </c>
    </row>
    <row r="13" spans="2:14" ht="23.25" customHeight="1" thickTop="1" thickBot="1" x14ac:dyDescent="0.3">
      <c r="B13" s="27" t="s">
        <v>22</v>
      </c>
      <c r="C13" s="1"/>
      <c r="D13" s="28" t="s">
        <v>3</v>
      </c>
      <c r="E13" s="29"/>
      <c r="F13" s="105" t="s">
        <v>53</v>
      </c>
      <c r="G13" s="103">
        <f t="shared" si="2"/>
        <v>0</v>
      </c>
      <c r="H13" s="8">
        <v>0</v>
      </c>
      <c r="I13" s="9">
        <v>30000</v>
      </c>
      <c r="J13" s="11">
        <f t="shared" ref="J13:J16" si="3">IF(C13=0,0,IF(C13="",0,H13*I13))</f>
        <v>0</v>
      </c>
      <c r="K13" s="26"/>
      <c r="M13" s="11">
        <f t="shared" si="1"/>
        <v>0</v>
      </c>
    </row>
    <row r="14" spans="2:14" ht="23.25" customHeight="1" thickTop="1" thickBot="1" x14ac:dyDescent="0.3">
      <c r="B14" s="27" t="s">
        <v>38</v>
      </c>
      <c r="C14" s="1"/>
      <c r="D14" s="28" t="s">
        <v>3</v>
      </c>
      <c r="E14" s="29"/>
      <c r="F14" s="105" t="s">
        <v>53</v>
      </c>
      <c r="G14" s="103">
        <f t="shared" si="2"/>
        <v>0</v>
      </c>
      <c r="H14" s="8">
        <v>0</v>
      </c>
      <c r="I14" s="9">
        <v>30000</v>
      </c>
      <c r="J14" s="11">
        <f t="shared" si="3"/>
        <v>0</v>
      </c>
      <c r="K14" s="26"/>
      <c r="M14" s="11">
        <f t="shared" si="1"/>
        <v>0</v>
      </c>
    </row>
    <row r="15" spans="2:14" ht="23.25" customHeight="1" thickTop="1" thickBot="1" x14ac:dyDescent="0.3">
      <c r="B15" s="27" t="s">
        <v>39</v>
      </c>
      <c r="C15" s="1"/>
      <c r="D15" s="28" t="s">
        <v>3</v>
      </c>
      <c r="E15" s="29"/>
      <c r="F15" s="105" t="s">
        <v>53</v>
      </c>
      <c r="G15" s="103">
        <f t="shared" si="2"/>
        <v>0</v>
      </c>
      <c r="H15" s="8">
        <v>0</v>
      </c>
      <c r="I15" s="9">
        <v>30000</v>
      </c>
      <c r="J15" s="11">
        <f t="shared" si="3"/>
        <v>0</v>
      </c>
      <c r="M15" s="11">
        <f t="shared" si="1"/>
        <v>0</v>
      </c>
    </row>
    <row r="16" spans="2:14" ht="23.25" customHeight="1" thickTop="1" thickBot="1" x14ac:dyDescent="0.3">
      <c r="B16" s="27" t="s">
        <v>40</v>
      </c>
      <c r="C16" s="1"/>
      <c r="D16" s="28" t="s">
        <v>3</v>
      </c>
      <c r="E16" s="29"/>
      <c r="F16" s="105" t="s">
        <v>53</v>
      </c>
      <c r="G16" s="103">
        <f t="shared" si="2"/>
        <v>0</v>
      </c>
      <c r="H16" s="8">
        <v>0</v>
      </c>
      <c r="I16" s="9">
        <v>30000</v>
      </c>
      <c r="J16" s="11">
        <f t="shared" si="3"/>
        <v>0</v>
      </c>
      <c r="L16" s="11">
        <f>I11+I12+I13</f>
        <v>120000</v>
      </c>
      <c r="M16" s="11">
        <f t="shared" si="1"/>
        <v>0</v>
      </c>
    </row>
    <row r="17" spans="2:19" ht="18" customHeight="1" thickTop="1" thickBot="1" x14ac:dyDescent="0.3">
      <c r="B17" s="30"/>
      <c r="C17" s="3"/>
      <c r="D17" s="31"/>
      <c r="E17" s="32"/>
      <c r="F17" s="4"/>
      <c r="G17" s="31"/>
      <c r="H17" s="33"/>
      <c r="I17" s="34"/>
    </row>
    <row r="18" spans="2:19" ht="16.5" thickTop="1" thickBot="1" x14ac:dyDescent="0.3">
      <c r="J18" s="11">
        <f>SUM(J11:J16)</f>
        <v>8640000</v>
      </c>
      <c r="K18" s="11" t="s">
        <v>9</v>
      </c>
      <c r="M18" s="11">
        <f>SUM(M11:M16)</f>
        <v>1</v>
      </c>
      <c r="S18" s="35" t="s">
        <v>2</v>
      </c>
    </row>
    <row r="19" spans="2:19" ht="24" thickTop="1" x14ac:dyDescent="0.35">
      <c r="B19" s="36" t="s">
        <v>44</v>
      </c>
      <c r="C19" s="37"/>
      <c r="D19" s="19"/>
      <c r="E19" s="19"/>
      <c r="F19" s="19"/>
      <c r="G19" s="2"/>
      <c r="H19" s="19"/>
      <c r="I19" s="20"/>
    </row>
    <row r="20" spans="2:19" ht="26.25" customHeight="1" x14ac:dyDescent="0.25">
      <c r="B20" s="38"/>
      <c r="C20" s="116" t="s">
        <v>37</v>
      </c>
      <c r="D20" s="116"/>
      <c r="E20" s="116"/>
      <c r="F20" s="116"/>
      <c r="G20" s="39"/>
      <c r="H20" s="40"/>
      <c r="I20" s="41"/>
      <c r="J20" s="42">
        <f>MAX(C21:C26)</f>
        <v>9.3896713615023479</v>
      </c>
      <c r="K20" s="11">
        <f>J20/20</f>
        <v>0.46948356807511737</v>
      </c>
    </row>
    <row r="21" spans="2:19" ht="21.75" customHeight="1" x14ac:dyDescent="0.3">
      <c r="B21" s="93" t="str">
        <f>IF(IF(C11=0,"N/A",100/(G11/2)*M11)&lt;2,"RC-PCR pool 1 (1:10 diluted):","RC-PCR pool 1:")</f>
        <v>RC-PCR pool 1:</v>
      </c>
      <c r="C21" s="94">
        <f t="shared" ref="C21:C26" si="4">IF(IF(C11=0,"N/A",100/(G11/2)*M11)&lt;2,IF(C11=0,"N/A",100/(G11/2)*M11)*10,IF(C11=0,"N/A",100/(G11/2)*M11))</f>
        <v>7.0397747272087283</v>
      </c>
      <c r="D21" s="95" t="str">
        <f>IF(C11=0,"","µL")</f>
        <v>µL</v>
      </c>
      <c r="E21" s="96" t="str">
        <f t="shared" ref="E21:E26" si="5">IF(IF(C11=0,"N/A",100/(G11/2)*M11)&lt;2,IF(C21="N/A","","(of "&amp;(ROUND(G11/10,2)&amp;" nM")&amp;")"),IF(C21="N/A","","(of "&amp;(ROUND(G11,1)&amp;" nM")&amp;")"))</f>
        <v>(of 9,5 nM)</v>
      </c>
      <c r="F21" s="97" t="str">
        <f t="shared" ref="F21:F26" si="6">IF(IF(C11=0,"N/A",100/(G11/2)*M11)&lt;2,"(1:10!)","")</f>
        <v/>
      </c>
      <c r="G21" s="43">
        <f t="shared" ref="G21:G26" si="7">G11/2</f>
        <v>4.7350000000000003</v>
      </c>
      <c r="H21" s="43">
        <f t="shared" ref="H21:H26" si="8">IF(C21="N/A",0,(G21*C21)-C21)</f>
        <v>26.293558606124598</v>
      </c>
      <c r="I21" s="91"/>
      <c r="J21" s="44">
        <f t="shared" ref="J21:J26" si="9">IF(C21="N/A",0,1)</f>
        <v>1</v>
      </c>
      <c r="L21" s="11">
        <f>G11/2</f>
        <v>4.7350000000000003</v>
      </c>
    </row>
    <row r="22" spans="2:19" ht="21.75" customHeight="1" x14ac:dyDescent="0.3">
      <c r="B22" s="93" t="str">
        <f>IF(IF(C12=0,"N/A",100/(G12/2)*M12)&lt;2,"RC-PCR pool 2 (1:10 diluted):","RC-PCR pool 2:")</f>
        <v>RC-PCR pool 2:</v>
      </c>
      <c r="C22" s="94">
        <f t="shared" si="4"/>
        <v>9.3896713615023479</v>
      </c>
      <c r="D22" s="95" t="str">
        <f t="shared" ref="D22:D26" si="10">IF(C12=0,"","µL")</f>
        <v>µL</v>
      </c>
      <c r="E22" s="96" t="str">
        <f t="shared" si="5"/>
        <v>(of 14,2 nM)</v>
      </c>
      <c r="F22" s="97" t="str">
        <f t="shared" si="6"/>
        <v/>
      </c>
      <c r="G22" s="43">
        <f t="shared" si="7"/>
        <v>7.1</v>
      </c>
      <c r="H22" s="43">
        <f t="shared" si="8"/>
        <v>57.27699530516432</v>
      </c>
      <c r="I22" s="91"/>
      <c r="J22" s="44">
        <f t="shared" si="9"/>
        <v>1</v>
      </c>
    </row>
    <row r="23" spans="2:19" ht="21.75" customHeight="1" x14ac:dyDescent="0.3">
      <c r="B23" s="93" t="str">
        <f>IF(IF(C13=0,"N/A",100/(G13/2)*M13)&lt;2,"RC-PCR pool 3 (1:10 diluted):","RC-PCR pool 3:")</f>
        <v>RC-PCR pool 3:</v>
      </c>
      <c r="C23" s="94" t="str">
        <f t="shared" si="4"/>
        <v>N/A</v>
      </c>
      <c r="D23" s="95" t="str">
        <f t="shared" si="10"/>
        <v/>
      </c>
      <c r="E23" s="96" t="str">
        <f t="shared" si="5"/>
        <v/>
      </c>
      <c r="F23" s="97" t="str">
        <f t="shared" si="6"/>
        <v/>
      </c>
      <c r="G23" s="43">
        <f t="shared" si="7"/>
        <v>0</v>
      </c>
      <c r="H23" s="43">
        <f t="shared" si="8"/>
        <v>0</v>
      </c>
      <c r="I23" s="91"/>
      <c r="J23" s="44">
        <f t="shared" si="9"/>
        <v>0</v>
      </c>
    </row>
    <row r="24" spans="2:19" ht="21.75" customHeight="1" x14ac:dyDescent="0.3">
      <c r="B24" s="93" t="str">
        <f>IF(IF(C14=0,"N/A",100/(G14/2)*M14)&lt;2,"RC-PCR pool 4 (1:10 diluted):","RC-PCR pool 4:")</f>
        <v>RC-PCR pool 4:</v>
      </c>
      <c r="C24" s="94" t="str">
        <f t="shared" si="4"/>
        <v>N/A</v>
      </c>
      <c r="D24" s="95" t="str">
        <f t="shared" si="10"/>
        <v/>
      </c>
      <c r="E24" s="96" t="str">
        <f t="shared" si="5"/>
        <v/>
      </c>
      <c r="F24" s="97" t="str">
        <f t="shared" si="6"/>
        <v/>
      </c>
      <c r="G24" s="43">
        <f t="shared" si="7"/>
        <v>0</v>
      </c>
      <c r="H24" s="43">
        <f t="shared" si="8"/>
        <v>0</v>
      </c>
      <c r="I24" s="91"/>
      <c r="J24" s="44">
        <f t="shared" si="9"/>
        <v>0</v>
      </c>
    </row>
    <row r="25" spans="2:19" ht="21.75" customHeight="1" x14ac:dyDescent="0.3">
      <c r="B25" s="93" t="str">
        <f>IF(IF(C15=0,"N/A",100/(G15/2)*M15)&lt;2,"RC-PCR pool 5 (1:10 diluted):","RC-PCR pool 5:")</f>
        <v>RC-PCR pool 5:</v>
      </c>
      <c r="C25" s="94" t="str">
        <f t="shared" si="4"/>
        <v>N/A</v>
      </c>
      <c r="D25" s="95" t="str">
        <f t="shared" si="10"/>
        <v/>
      </c>
      <c r="E25" s="96" t="str">
        <f t="shared" si="5"/>
        <v/>
      </c>
      <c r="F25" s="97" t="str">
        <f t="shared" si="6"/>
        <v/>
      </c>
      <c r="G25" s="43">
        <f t="shared" si="7"/>
        <v>0</v>
      </c>
      <c r="H25" s="43">
        <f t="shared" si="8"/>
        <v>0</v>
      </c>
      <c r="I25" s="91"/>
      <c r="J25" s="44">
        <f t="shared" si="9"/>
        <v>0</v>
      </c>
    </row>
    <row r="26" spans="2:19" ht="21.75" customHeight="1" x14ac:dyDescent="0.3">
      <c r="B26" s="93" t="str">
        <f>IF(IF(C16=0,"N/A",100/(G16/2)*M16)&lt;2,"RC-PCR pool 6 (1:10 diluted):","RC-PCR pool 6:")</f>
        <v>RC-PCR pool 6:</v>
      </c>
      <c r="C26" s="94" t="str">
        <f t="shared" si="4"/>
        <v>N/A</v>
      </c>
      <c r="D26" s="95" t="str">
        <f t="shared" si="10"/>
        <v/>
      </c>
      <c r="E26" s="96" t="str">
        <f t="shared" si="5"/>
        <v/>
      </c>
      <c r="F26" s="97" t="str">
        <f t="shared" si="6"/>
        <v/>
      </c>
      <c r="G26" s="43">
        <f t="shared" si="7"/>
        <v>0</v>
      </c>
      <c r="H26" s="43">
        <f t="shared" si="8"/>
        <v>0</v>
      </c>
      <c r="I26" s="91"/>
      <c r="J26" s="44">
        <f t="shared" si="9"/>
        <v>0</v>
      </c>
      <c r="K26" s="44"/>
      <c r="L26" s="45"/>
    </row>
    <row r="27" spans="2:19" ht="21.75" customHeight="1" x14ac:dyDescent="0.3">
      <c r="B27" s="93" t="s">
        <v>41</v>
      </c>
      <c r="C27" s="94">
        <f>100-SUM(C21:C26)</f>
        <v>83.570553911288926</v>
      </c>
      <c r="D27" s="95" t="s">
        <v>1</v>
      </c>
      <c r="E27" s="98"/>
      <c r="F27" s="99"/>
      <c r="G27" s="43"/>
      <c r="H27" s="43"/>
      <c r="I27" s="91"/>
      <c r="J27" s="46">
        <f>SUM(J21:J26)</f>
        <v>2</v>
      </c>
      <c r="K27" s="46"/>
      <c r="L27" s="45"/>
    </row>
    <row r="28" spans="2:19" ht="21.75" thickBot="1" x14ac:dyDescent="0.4">
      <c r="B28" s="47" t="s">
        <v>42</v>
      </c>
      <c r="C28" s="48">
        <f>SUM(C21:C27)</f>
        <v>100</v>
      </c>
      <c r="D28" s="49" t="s">
        <v>1</v>
      </c>
      <c r="E28" s="50" t="s">
        <v>43</v>
      </c>
      <c r="F28" s="51"/>
      <c r="G28" s="52"/>
      <c r="H28" s="52">
        <f>SUM(H21:H26)</f>
        <v>83.570553911288926</v>
      </c>
      <c r="I28" s="92"/>
      <c r="J28" s="46"/>
      <c r="K28" s="44"/>
      <c r="L28" s="45"/>
    </row>
    <row r="29" spans="2:19" ht="15.75" thickTop="1" x14ac:dyDescent="0.25">
      <c r="B29" s="45"/>
      <c r="C29" s="45"/>
      <c r="D29" s="45"/>
      <c r="E29" s="45"/>
      <c r="F29" s="45"/>
      <c r="G29" s="45"/>
      <c r="H29" s="45"/>
      <c r="I29" s="45"/>
      <c r="J29" s="46"/>
      <c r="K29" s="44"/>
      <c r="L29" s="45"/>
    </row>
    <row r="30" spans="2:19" ht="15.75" thickBot="1" x14ac:dyDescent="0.3"/>
    <row r="31" spans="2:19" ht="24" customHeight="1" thickTop="1" x14ac:dyDescent="0.25">
      <c r="B31" s="36" t="s">
        <v>50</v>
      </c>
      <c r="C31" s="19"/>
      <c r="D31" s="19"/>
      <c r="E31" s="19"/>
      <c r="F31" s="19"/>
      <c r="G31" s="19"/>
      <c r="H31" s="19"/>
      <c r="I31" s="20"/>
      <c r="Q31" s="45"/>
      <c r="R31" s="45"/>
    </row>
    <row r="32" spans="2:19" ht="18.75" x14ac:dyDescent="0.3">
      <c r="B32" s="53" t="s">
        <v>49</v>
      </c>
      <c r="C32" s="54">
        <v>10</v>
      </c>
      <c r="D32" s="55" t="s">
        <v>1</v>
      </c>
      <c r="E32" s="56"/>
      <c r="F32" s="57"/>
      <c r="G32" s="57"/>
      <c r="H32" s="57"/>
      <c r="I32" s="58"/>
    </row>
    <row r="33" spans="2:21" ht="18.75" x14ac:dyDescent="0.3">
      <c r="B33" s="53" t="s">
        <v>17</v>
      </c>
      <c r="C33" s="54">
        <v>10</v>
      </c>
      <c r="D33" s="55" t="s">
        <v>4</v>
      </c>
      <c r="E33" s="57"/>
      <c r="F33" s="57"/>
      <c r="G33" s="57"/>
      <c r="H33" s="57"/>
      <c r="I33" s="58"/>
    </row>
    <row r="34" spans="2:21" ht="28.9" customHeight="1" x14ac:dyDescent="0.25">
      <c r="B34" s="106" t="s">
        <v>24</v>
      </c>
      <c r="C34" s="107"/>
      <c r="D34" s="107"/>
      <c r="E34" s="107"/>
      <c r="F34" s="107"/>
      <c r="G34" s="107"/>
      <c r="H34" s="107"/>
      <c r="I34" s="108"/>
    </row>
    <row r="35" spans="2:21" ht="18.75" x14ac:dyDescent="0.3">
      <c r="B35" s="53" t="s">
        <v>33</v>
      </c>
      <c r="C35" s="59">
        <v>10</v>
      </c>
      <c r="D35" s="55" t="s">
        <v>4</v>
      </c>
      <c r="E35" s="57"/>
      <c r="F35" s="57"/>
      <c r="G35" s="57"/>
      <c r="H35" s="57"/>
      <c r="I35" s="58"/>
    </row>
    <row r="36" spans="2:21" ht="18.75" x14ac:dyDescent="0.3">
      <c r="B36" s="53" t="s">
        <v>25</v>
      </c>
      <c r="C36" s="59">
        <v>970</v>
      </c>
      <c r="D36" s="55" t="s">
        <v>4</v>
      </c>
      <c r="E36" s="57"/>
      <c r="F36" s="57"/>
      <c r="G36" s="57"/>
      <c r="H36" s="57"/>
      <c r="I36" s="58"/>
    </row>
    <row r="37" spans="2:21" ht="19.5" thickBot="1" x14ac:dyDescent="0.35">
      <c r="B37" s="60" t="s">
        <v>29</v>
      </c>
      <c r="C37" s="61">
        <f>SUM(C32+C33+C35+C36)</f>
        <v>1000</v>
      </c>
      <c r="D37" s="62" t="s">
        <v>1</v>
      </c>
      <c r="E37" s="62"/>
      <c r="F37" s="62"/>
      <c r="G37" s="62"/>
      <c r="H37" s="62"/>
      <c r="I37" s="63"/>
    </row>
    <row r="38" spans="2:21" ht="16.5" thickTop="1" thickBot="1" x14ac:dyDescent="0.3">
      <c r="C38" s="64"/>
      <c r="D38" s="35"/>
    </row>
    <row r="39" spans="2:21" ht="24.75" thickTop="1" thickBot="1" x14ac:dyDescent="0.4">
      <c r="B39" s="36" t="s">
        <v>48</v>
      </c>
      <c r="C39" s="37"/>
      <c r="D39" s="19"/>
      <c r="E39" s="19"/>
      <c r="F39" s="19"/>
      <c r="G39" s="19"/>
      <c r="H39" s="5"/>
      <c r="I39" s="20"/>
    </row>
    <row r="40" spans="2:21" ht="33.6" customHeight="1" thickBot="1" x14ac:dyDescent="0.3">
      <c r="B40" s="113" t="s">
        <v>30</v>
      </c>
      <c r="C40" s="65" t="s">
        <v>5</v>
      </c>
      <c r="D40" s="65"/>
      <c r="E40" s="115" t="s">
        <v>34</v>
      </c>
      <c r="F40" s="115"/>
      <c r="G40" s="66" t="s">
        <v>27</v>
      </c>
      <c r="H40" s="67" t="s">
        <v>26</v>
      </c>
      <c r="I40" s="68" t="s">
        <v>7</v>
      </c>
    </row>
    <row r="41" spans="2:21" ht="24.75" thickTop="1" thickBot="1" x14ac:dyDescent="0.4">
      <c r="B41" s="114"/>
      <c r="C41" s="119">
        <v>8</v>
      </c>
      <c r="D41" s="120"/>
      <c r="E41" s="117">
        <f>I41*C41/20</f>
        <v>240</v>
      </c>
      <c r="F41" s="118"/>
      <c r="G41" s="69">
        <f>I41-E41-80</f>
        <v>280</v>
      </c>
      <c r="H41" s="70">
        <v>80</v>
      </c>
      <c r="I41" s="71">
        <v>600</v>
      </c>
    </row>
    <row r="42" spans="2:21" ht="16.5" thickTop="1" thickBot="1" x14ac:dyDescent="0.3">
      <c r="P42"/>
    </row>
    <row r="43" spans="2:21" ht="24" hidden="1" thickBot="1" x14ac:dyDescent="0.4">
      <c r="B43" s="72" t="s">
        <v>10</v>
      </c>
      <c r="C43" s="72"/>
      <c r="D43" s="111">
        <f>J18</f>
        <v>8640000</v>
      </c>
      <c r="E43" s="112"/>
      <c r="J43" s="11">
        <v>25000000</v>
      </c>
    </row>
    <row r="44" spans="2:21" ht="24.75" thickTop="1" thickBot="1" x14ac:dyDescent="0.4">
      <c r="B44" s="73" t="s">
        <v>36</v>
      </c>
      <c r="C44" s="74"/>
      <c r="D44" s="74"/>
      <c r="E44" s="74"/>
      <c r="F44" s="74"/>
      <c r="G44" s="74"/>
      <c r="H44" s="74"/>
      <c r="I44" s="75"/>
      <c r="J44" s="11">
        <v>8000000</v>
      </c>
      <c r="U44" s="11" t="s">
        <v>0</v>
      </c>
    </row>
    <row r="45" spans="2:21" ht="16.5" thickTop="1" thickBot="1" x14ac:dyDescent="0.3"/>
    <row r="46" spans="2:21" ht="59.45" customHeight="1" thickTop="1" thickBot="1" x14ac:dyDescent="0.3">
      <c r="B46" s="104" t="s">
        <v>57</v>
      </c>
      <c r="C46" s="77" t="s">
        <v>18</v>
      </c>
      <c r="D46" s="78"/>
      <c r="E46" s="77" t="s">
        <v>19</v>
      </c>
      <c r="F46"/>
    </row>
    <row r="47" spans="2:21" ht="15.75" thickTop="1" x14ac:dyDescent="0.25">
      <c r="B47" s="76" t="s">
        <v>14</v>
      </c>
      <c r="C47" s="100">
        <f>IF(H11=0,0,(M11*$J$18/H11)*($C$55/$J$18))</f>
        <v>65104.166666666664</v>
      </c>
      <c r="D47" s="82"/>
      <c r="E47" s="100">
        <f>IF(H11=0,0,(M11*$J$18/H11)*($E$55/$J$18))</f>
        <v>18229.166666666664</v>
      </c>
      <c r="F47" s="101"/>
    </row>
    <row r="48" spans="2:21" x14ac:dyDescent="0.25">
      <c r="B48" s="76" t="s">
        <v>15</v>
      </c>
      <c r="C48" s="100">
        <f t="shared" ref="C48:C52" si="11">IF(H12=0,0,(M12*$J$18/H12)*($C$55/$J$18))</f>
        <v>130208.33333333333</v>
      </c>
      <c r="D48" s="82"/>
      <c r="E48" s="100">
        <f t="shared" ref="E48:E52" si="12">IF(H12=0,0,(M12*$J$18/H12)*($E$55/$J$18))</f>
        <v>36458.333333333328</v>
      </c>
      <c r="F48" s="101"/>
    </row>
    <row r="49" spans="2:12" x14ac:dyDescent="0.25">
      <c r="B49" s="76" t="s">
        <v>16</v>
      </c>
      <c r="C49" s="100">
        <f t="shared" si="11"/>
        <v>0</v>
      </c>
      <c r="D49" s="82"/>
      <c r="E49" s="100">
        <f t="shared" si="12"/>
        <v>0</v>
      </c>
      <c r="F49" s="101"/>
    </row>
    <row r="50" spans="2:12" x14ac:dyDescent="0.25">
      <c r="B50" s="76" t="s">
        <v>45</v>
      </c>
      <c r="C50" s="100">
        <f t="shared" si="11"/>
        <v>0</v>
      </c>
      <c r="D50" s="82"/>
      <c r="E50" s="100">
        <f t="shared" si="12"/>
        <v>0</v>
      </c>
      <c r="F50" s="101"/>
    </row>
    <row r="51" spans="2:12" x14ac:dyDescent="0.25">
      <c r="B51" s="76" t="s">
        <v>46</v>
      </c>
      <c r="C51" s="100">
        <f t="shared" si="11"/>
        <v>0</v>
      </c>
      <c r="D51" s="82"/>
      <c r="E51" s="100">
        <f t="shared" si="12"/>
        <v>0</v>
      </c>
      <c r="F51" s="101"/>
    </row>
    <row r="52" spans="2:12" x14ac:dyDescent="0.25">
      <c r="B52" s="76" t="s">
        <v>47</v>
      </c>
      <c r="C52" s="100">
        <f t="shared" si="11"/>
        <v>0</v>
      </c>
      <c r="D52" s="82"/>
      <c r="E52" s="100">
        <f t="shared" si="12"/>
        <v>0</v>
      </c>
      <c r="F52" s="101"/>
    </row>
    <row r="53" spans="2:12" x14ac:dyDescent="0.25">
      <c r="B53" s="80"/>
      <c r="C53" s="81"/>
      <c r="E53" s="81"/>
      <c r="F53" s="79"/>
      <c r="J53" s="11">
        <v>25000000</v>
      </c>
      <c r="L53" s="82">
        <v>70000000</v>
      </c>
    </row>
    <row r="54" spans="2:12" x14ac:dyDescent="0.25">
      <c r="B54" s="76" t="s">
        <v>13</v>
      </c>
      <c r="C54" s="83">
        <f>J18</f>
        <v>8640000</v>
      </c>
      <c r="D54" s="82"/>
      <c r="E54" s="83">
        <f>J18</f>
        <v>8640000</v>
      </c>
      <c r="F54" s="79"/>
      <c r="J54" s="11">
        <v>22000000</v>
      </c>
      <c r="L54" s="82">
        <v>75000000</v>
      </c>
    </row>
    <row r="55" spans="2:12" x14ac:dyDescent="0.25">
      <c r="B55" s="76" t="s">
        <v>58</v>
      </c>
      <c r="C55" s="83">
        <f>C57-C56</f>
        <v>18750000</v>
      </c>
      <c r="D55" s="84"/>
      <c r="E55" s="83">
        <f>E57-E56</f>
        <v>5250000</v>
      </c>
      <c r="F55" s="79"/>
      <c r="J55" s="11">
        <v>20000000</v>
      </c>
      <c r="L55" s="82">
        <v>80000000</v>
      </c>
    </row>
    <row r="56" spans="2:12" ht="15.75" thickBot="1" x14ac:dyDescent="0.3">
      <c r="B56" s="76" t="s">
        <v>35</v>
      </c>
      <c r="C56" s="85">
        <f>C57/4</f>
        <v>6250000</v>
      </c>
      <c r="D56" s="82"/>
      <c r="E56" s="85">
        <f>E57/4</f>
        <v>1750000</v>
      </c>
      <c r="F56" s="79"/>
      <c r="J56" s="11">
        <v>18000000</v>
      </c>
      <c r="L56" s="82">
        <v>90000000</v>
      </c>
    </row>
    <row r="57" spans="2:12" ht="16.5" thickTop="1" thickBot="1" x14ac:dyDescent="0.3">
      <c r="B57" s="76" t="s">
        <v>59</v>
      </c>
      <c r="C57" s="6">
        <v>25000000</v>
      </c>
      <c r="D57" s="86"/>
      <c r="E57" s="6">
        <v>7000000</v>
      </c>
      <c r="J57" s="11">
        <v>15000000</v>
      </c>
      <c r="L57" s="82">
        <v>100000000</v>
      </c>
    </row>
    <row r="58" spans="2:12" ht="16.5" thickTop="1" thickBot="1" x14ac:dyDescent="0.3">
      <c r="B58" s="80"/>
    </row>
    <row r="59" spans="2:12" ht="20.25" thickTop="1" thickBot="1" x14ac:dyDescent="0.35">
      <c r="B59" s="76" t="s">
        <v>12</v>
      </c>
      <c r="C59" s="87" t="str">
        <f>IF(C55&gt;C54-1,"OKAY","TOO SMALL")</f>
        <v>OKAY</v>
      </c>
      <c r="D59" s="88"/>
      <c r="E59" s="87" t="str">
        <f>IF(E55&gt;E54-1,"OKAY","TOO SMALL")</f>
        <v>TOO SMALL</v>
      </c>
      <c r="J59" s="11">
        <v>8000000</v>
      </c>
    </row>
    <row r="60" spans="2:12" ht="16.5" thickTop="1" thickBot="1" x14ac:dyDescent="0.3">
      <c r="B60" s="80"/>
      <c r="C60" s="89"/>
      <c r="J60" s="11">
        <v>7000000</v>
      </c>
    </row>
    <row r="61" spans="2:12" ht="20.25" thickTop="1" thickBot="1" x14ac:dyDescent="0.35">
      <c r="B61" s="76" t="s">
        <v>56</v>
      </c>
      <c r="C61" s="90">
        <f>C54/C55</f>
        <v>0.46079999999999999</v>
      </c>
      <c r="D61" s="79"/>
      <c r="E61" s="90">
        <f>E54/E55</f>
        <v>1.6457142857142857</v>
      </c>
      <c r="J61" s="11">
        <v>6000000</v>
      </c>
    </row>
    <row r="62" spans="2:12" ht="15.75" thickTop="1" x14ac:dyDescent="0.25">
      <c r="J62" s="11">
        <v>5000000</v>
      </c>
    </row>
  </sheetData>
  <sheetProtection algorithmName="SHA-512" hashValue="9XDYYGg2amYiGkzkeBtc74OLxGnN/uZiR2IupykEqg1cJETZ54CKVQXK2AXM2QFbaCGMyAVKSAFYpMaSfy1p9w==" saltValue="DBz0mBkblHB4QM0itdQloQ==" spinCount="100000" sheet="1" selectLockedCells="1"/>
  <dataConsolidate>
    <dataRefs count="1">
      <dataRef ref="C12" sheet="Library QC and dilution"/>
    </dataRefs>
  </dataConsolidate>
  <mergeCells count="9">
    <mergeCell ref="B34:I34"/>
    <mergeCell ref="C10:D10"/>
    <mergeCell ref="D43:E43"/>
    <mergeCell ref="B40:B41"/>
    <mergeCell ref="E40:F40"/>
    <mergeCell ref="C20:D20"/>
    <mergeCell ref="E20:F20"/>
    <mergeCell ref="E41:F41"/>
    <mergeCell ref="C41:D41"/>
  </mergeCells>
  <conditionalFormatting sqref="C61">
    <cfRule type="cellIs" dxfId="7" priority="18" operator="greaterThan">
      <formula>1</formula>
    </cfRule>
  </conditionalFormatting>
  <conditionalFormatting sqref="C21:D27">
    <cfRule type="containsText" dxfId="6" priority="9" operator="containsText" text="N">
      <formula>NOT(ISERROR(SEARCH("N",C21)))</formula>
    </cfRule>
  </conditionalFormatting>
  <conditionalFormatting sqref="D25:D26">
    <cfRule type="cellIs" dxfId="5" priority="7" operator="equal">
      <formula>" "</formula>
    </cfRule>
    <cfRule type="cellIs" dxfId="4" priority="8" operator="equal">
      <formula>""""""</formula>
    </cfRule>
  </conditionalFormatting>
  <conditionalFormatting sqref="E32">
    <cfRule type="cellIs" dxfId="3" priority="12" operator="lessThan">
      <formula>0</formula>
    </cfRule>
  </conditionalFormatting>
  <conditionalFormatting sqref="E61">
    <cfRule type="cellIs" dxfId="2" priority="19" operator="greaterThan">
      <formula>1</formula>
    </cfRule>
  </conditionalFormatting>
  <conditionalFormatting sqref="F21:F26">
    <cfRule type="cellIs" dxfId="1" priority="1" operator="equal">
      <formula>"(1:10!)"</formula>
    </cfRule>
  </conditionalFormatting>
  <dataValidations xWindow="1244" yWindow="601" count="9">
    <dataValidation type="list" allowBlank="1" showInputMessage="1" showErrorMessage="1" prompt="Optionally, choose lower cluster density (default = 25M)" sqref="C57" xr:uid="{AABD3D28-4819-42EA-9435-2CE92A44556C}">
      <formula1>$J$53:$J$57</formula1>
    </dataValidation>
    <dataValidation type="list" allowBlank="1" showInputMessage="1" showErrorMessage="1" prompt="Optionally, choose lower cluster density (default = 8M)" sqref="E57" xr:uid="{1C838088-6683-40B6-B0FC-0FED116ECD58}">
      <formula1>$J$59:$J$62</formula1>
    </dataValidation>
    <dataValidation showInputMessage="1" showErrorMessage="1" prompt="Fill in: Number of samples pooled together in pool 2. If this pool is not applicable, fill in: &quot;0&quot;" sqref="H12:H16" xr:uid="{F0C5EA92-E15E-4EC4-BF60-03D40D8A422E}"/>
    <dataValidation allowBlank="1" showInputMessage="1" showErrorMessage="1" prompt="Fill in: The required number of reads, per sample in pool 1. NimaGen recommends 30000 reads for high quality reference samples (~1 ng/uL) and 300000 reads for potentially mixed, inhibited, or low input (&lt;500 pg/uL) samples" sqref="I11:I16" xr:uid="{39ABCAF5-E491-4185-8B06-227E07E882C9}"/>
    <dataValidation allowBlank="1" showInputMessage="1" showErrorMessage="1" prompt="Fill in: Number of samples pooled together in pool 1" sqref="H11:H16" xr:uid="{567CFF7E-2B02-40AB-A079-6461A242B1D6}"/>
    <dataValidation type="decimal" allowBlank="1" showInputMessage="1" showErrorMessage="1" prompt="Optionally: Change loading concentration. (5 - 12 pM). Default = 8 pM" sqref="C41:D41" xr:uid="{0532D045-6541-4014-A1A2-EE6F8D693697}">
      <formula1>5</formula1>
      <formula2>12</formula2>
    </dataValidation>
    <dataValidation type="decimal" allowBlank="1" showInputMessage="1" showErrorMessage="1" prompt="Fill in: Concentration of the cleaned pool, measured by Qubit" sqref="C11:C16" xr:uid="{C9957A49-F7F1-46D6-9C1D-F6D4A55E6F4C}">
      <formula1>0</formula1>
      <formula2>20</formula2>
    </dataValidation>
    <dataValidation type="list" allowBlank="1" showInputMessage="1" showErrorMessage="1" prompt="Optionally, choose lower cluster density (default = 8M)" sqref="G57" xr:uid="{D51050D9-4BD7-455C-8666-1BB32FF315B9}">
      <formula1>$L$53:$L$57</formula1>
    </dataValidation>
    <dataValidation type="list" allowBlank="1" showInputMessage="1" showErrorMessage="1" sqref="F11:F16" xr:uid="{DFB83491-D590-4708-940F-735D5E5BE499}">
      <formula1>$N$11:$N$12</formula1>
    </dataValidation>
  </dataValidations>
  <pageMargins left="0.7" right="0.7" top="0.75" bottom="0.75" header="0.3" footer="0.3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Library QC and dilution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van der Vliet</dc:creator>
  <cp:lastModifiedBy>Joop Theelen - NimaGen</cp:lastModifiedBy>
  <cp:lastPrinted>2023-04-28T14:08:49Z</cp:lastPrinted>
  <dcterms:created xsi:type="dcterms:W3CDTF">2018-06-11T13:29:33Z</dcterms:created>
  <dcterms:modified xsi:type="dcterms:W3CDTF">2024-04-04T10:29:28Z</dcterms:modified>
</cp:coreProperties>
</file>